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1"/>
  </bookViews>
  <sheets>
    <sheet name="Breakeven Stops" sheetId="1" r:id="rId1"/>
    <sheet name="Initial Loss Stops" sheetId="2" r:id="rId2"/>
  </sheets>
  <definedNames/>
  <calcPr fullCalcOnLoad="1"/>
</workbook>
</file>

<file path=xl/sharedStrings.xml><?xml version="1.0" encoding="utf-8"?>
<sst xmlns="http://schemas.openxmlformats.org/spreadsheetml/2006/main" count="223" uniqueCount="72">
  <si>
    <t>pips</t>
  </si>
  <si>
    <t>level</t>
  </si>
  <si>
    <t>Spread</t>
  </si>
  <si>
    <t>Lots</t>
  </si>
  <si>
    <t>pip gains</t>
  </si>
  <si>
    <t>Result</t>
  </si>
  <si>
    <t>Account size</t>
  </si>
  <si>
    <t>Number of pips</t>
  </si>
  <si>
    <t>target trend</t>
  </si>
  <si>
    <t>Value of a pip</t>
  </si>
  <si>
    <t>10c = $0.1</t>
  </si>
  <si>
    <t>Initial stop</t>
  </si>
  <si>
    <t>% of account to be risked</t>
  </si>
  <si>
    <t>lots</t>
  </si>
  <si>
    <t>Levels</t>
  </si>
  <si>
    <t>Pips</t>
  </si>
  <si>
    <t>stop</t>
  </si>
  <si>
    <t>Top up level 1</t>
  </si>
  <si>
    <t>Top up level 2</t>
  </si>
  <si>
    <t>Initial breakeven stop level</t>
  </si>
  <si>
    <t>% gain targeted</t>
  </si>
  <si>
    <t>Spread in Pips</t>
  </si>
  <si>
    <t xml:space="preserve">You can only enter values </t>
  </si>
  <si>
    <t>in cells with this colour</t>
  </si>
  <si>
    <t>The blue cells reflect the margin of safety</t>
  </si>
  <si>
    <t>This model will not agree with the EA calculation 100% - it is a guide</t>
  </si>
  <si>
    <t>input into the EA</t>
  </si>
  <si>
    <t>low</t>
  </si>
  <si>
    <t>high</t>
  </si>
  <si>
    <t>Trade</t>
  </si>
  <si>
    <t>Initial</t>
  </si>
  <si>
    <t>Topup1</t>
  </si>
  <si>
    <t>Topup2</t>
  </si>
  <si>
    <t>Pip gain</t>
  </si>
  <si>
    <t>Gain in $</t>
  </si>
  <si>
    <t>Stop Type</t>
  </si>
  <si>
    <t xml:space="preserve">Initial </t>
  </si>
  <si>
    <t>Stoploss</t>
  </si>
  <si>
    <t>Breakeven</t>
  </si>
  <si>
    <t>=== Initial stop</t>
  </si>
  <si>
    <t>=== Margin of Safety</t>
  </si>
  <si>
    <t>=== Trading Plan overview</t>
  </si>
  <si>
    <t>=== Break even stop at 1st top-up at</t>
  </si>
  <si>
    <t>=== Break even stop at 2nd top-up at</t>
  </si>
  <si>
    <r>
      <t xml:space="preserve">OUTPUT as is likely to be seen in the </t>
    </r>
    <r>
      <rPr>
        <b/>
        <sz val="12"/>
        <color indexed="8"/>
        <rFont val="Calibri"/>
        <family val="2"/>
      </rPr>
      <t>STRATEGY GENERATOR</t>
    </r>
  </si>
  <si>
    <t>Input into the EA settings</t>
  </si>
  <si>
    <t>balance</t>
  </si>
  <si>
    <t>Small</t>
  </si>
  <si>
    <t>Bigger</t>
  </si>
  <si>
    <t>Biggest</t>
  </si>
  <si>
    <t>&lt;--Goal</t>
  </si>
  <si>
    <t>Goal-&gt;</t>
  </si>
  <si>
    <t>Total:</t>
  </si>
  <si>
    <t>Min stop distance</t>
  </si>
  <si>
    <r>
      <rPr>
        <b/>
        <sz val="24"/>
        <color indexed="8"/>
        <rFont val="Calibri"/>
        <family val="2"/>
      </rPr>
      <t>Double in a Day Excel model</t>
    </r>
    <r>
      <rPr>
        <sz val="24"/>
        <color indexed="8"/>
        <rFont val="Calibri"/>
        <family val="2"/>
      </rPr>
      <t xml:space="preserve"> </t>
    </r>
  </si>
  <si>
    <t>loss in $</t>
  </si>
  <si>
    <t>Return on Risk</t>
  </si>
  <si>
    <t>bigger</t>
  </si>
  <si>
    <t>4) Decrease the % risked and increase the target trend to improve your return on risk and lowering the initial risk</t>
  </si>
  <si>
    <t>Notes:  1) Margin requirements are ignored in this model.   2) Increase the target trend or increase the amount risked to improve the Margin of safety     3) use 1 topup and small Return of risk for small target trends</t>
  </si>
  <si>
    <t>Top up level 3</t>
  </si>
  <si>
    <t>Topup3</t>
  </si>
  <si>
    <t>=== Break even stop at 3rd top-up at</t>
  </si>
  <si>
    <t>Changes:</t>
  </si>
  <si>
    <t>R8</t>
  </si>
  <si>
    <t>remove spread</t>
  </si>
  <si>
    <t>R14</t>
  </si>
  <si>
    <t>R21</t>
  </si>
  <si>
    <t>Risk</t>
  </si>
  <si>
    <t>Value per pip</t>
  </si>
  <si>
    <t>Break even top up stops</t>
  </si>
  <si>
    <t>Initial stop size Top up stop loss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</si>
</sst>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0.0"/>
    <numFmt numFmtId="174" formatCode="_-&quot;$&quot;* #,##0_-;\-&quot;$&quot;* #,##0_-;_-&quot;$&quot;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8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9"/>
      <name val="Calibri"/>
      <family val="2"/>
    </font>
    <font>
      <b/>
      <i/>
      <sz val="11"/>
      <color indexed="10"/>
      <name val="Calibri"/>
      <family val="2"/>
    </font>
    <font>
      <sz val="8"/>
      <color indexed="8"/>
      <name val="Calibri"/>
      <family val="2"/>
    </font>
    <font>
      <sz val="26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8"/>
      <color rgb="FFFF0000"/>
      <name val="Calibri"/>
      <family val="2"/>
    </font>
    <font>
      <i/>
      <sz val="11"/>
      <color theme="1"/>
      <name val="Calibri"/>
      <family val="2"/>
    </font>
    <font>
      <sz val="24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8"/>
      <color theme="1"/>
      <name val="Calibri"/>
      <family val="2"/>
    </font>
    <font>
      <b/>
      <sz val="10"/>
      <color theme="1"/>
      <name val="Calibri"/>
      <family val="2"/>
    </font>
    <font>
      <sz val="16"/>
      <color theme="0"/>
      <name val="Calibri"/>
      <family val="2"/>
    </font>
    <font>
      <b/>
      <i/>
      <sz val="11"/>
      <color rgb="FFFF0000"/>
      <name val="Calibri"/>
      <family val="2"/>
    </font>
    <font>
      <sz val="8"/>
      <color theme="1"/>
      <name val="Calibri"/>
      <family val="2"/>
    </font>
    <font>
      <sz val="26"/>
      <color rgb="FFFF0000"/>
      <name val="Calibri"/>
      <family val="2"/>
    </font>
    <font>
      <b/>
      <sz val="2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15" borderId="0" xfId="0" applyFill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48" fillId="33" borderId="0" xfId="0" applyFont="1" applyFill="1" applyBorder="1" applyAlignment="1" quotePrefix="1">
      <alignment/>
    </xf>
    <xf numFmtId="0" fontId="48" fillId="33" borderId="0" xfId="0" applyFont="1" applyFill="1" applyBorder="1" applyAlignment="1">
      <alignment/>
    </xf>
    <xf numFmtId="0" fontId="51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5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53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51" fillId="35" borderId="13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9" fontId="0" fillId="35" borderId="0" xfId="0" applyNumberFormat="1" applyFill="1" applyBorder="1" applyAlignment="1">
      <alignment/>
    </xf>
    <xf numFmtId="9" fontId="0" fillId="35" borderId="14" xfId="0" applyNumberForma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48" fillId="0" borderId="0" xfId="0" applyFont="1" applyBorder="1" applyAlignment="1">
      <alignment horizontal="right"/>
    </xf>
    <xf numFmtId="174" fontId="48" fillId="0" borderId="0" xfId="44" applyNumberFormat="1" applyFont="1" applyBorder="1" applyAlignment="1">
      <alignment/>
    </xf>
    <xf numFmtId="174" fontId="48" fillId="0" borderId="0" xfId="44" applyNumberFormat="1" applyFont="1" applyBorder="1" applyAlignment="1">
      <alignment horizontal="right"/>
    </xf>
    <xf numFmtId="173" fontId="48" fillId="0" borderId="0" xfId="0" applyNumberFormat="1" applyFont="1" applyFill="1" applyBorder="1" applyAlignment="1">
      <alignment/>
    </xf>
    <xf numFmtId="173" fontId="48" fillId="0" borderId="0" xfId="0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165" fontId="56" fillId="34" borderId="0" xfId="0" applyNumberFormat="1" applyFont="1" applyFill="1" applyBorder="1" applyAlignment="1" applyProtection="1">
      <alignment/>
      <protection locked="0"/>
    </xf>
    <xf numFmtId="0" fontId="56" fillId="34" borderId="0" xfId="0" applyFont="1" applyFill="1" applyBorder="1" applyAlignment="1" applyProtection="1">
      <alignment/>
      <protection locked="0"/>
    </xf>
    <xf numFmtId="9" fontId="56" fillId="34" borderId="0" xfId="0" applyNumberFormat="1" applyFont="1" applyFill="1" applyBorder="1" applyAlignment="1" applyProtection="1">
      <alignment/>
      <protection locked="0"/>
    </xf>
    <xf numFmtId="2" fontId="56" fillId="34" borderId="0" xfId="0" applyNumberFormat="1" applyFont="1" applyFill="1" applyBorder="1" applyAlignment="1" applyProtection="1">
      <alignment/>
      <protection locked="0"/>
    </xf>
    <xf numFmtId="0" fontId="54" fillId="0" borderId="0" xfId="0" applyFont="1" applyBorder="1" applyAlignment="1">
      <alignment horizontal="center"/>
    </xf>
    <xf numFmtId="0" fontId="33" fillId="36" borderId="0" xfId="0" applyFont="1" applyFill="1" applyBorder="1" applyAlignment="1">
      <alignment/>
    </xf>
    <xf numFmtId="0" fontId="54" fillId="0" borderId="0" xfId="0" applyFont="1" applyFill="1" applyBorder="1" applyAlignment="1">
      <alignment horizontal="right"/>
    </xf>
    <xf numFmtId="0" fontId="57" fillId="36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right" vertical="center"/>
    </xf>
    <xf numFmtId="1" fontId="0" fillId="0" borderId="0" xfId="0" applyNumberFormat="1" applyBorder="1" applyAlignment="1">
      <alignment horizontal="center"/>
    </xf>
    <xf numFmtId="0" fontId="59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4" fontId="48" fillId="0" borderId="0" xfId="44" applyNumberFormat="1" applyFont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11" borderId="0" xfId="0" applyFill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1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2.28125" style="0" customWidth="1"/>
    <col min="2" max="2" width="5.421875" style="0" customWidth="1"/>
    <col min="3" max="3" width="22.7109375" style="0" customWidth="1"/>
    <col min="4" max="4" width="9.28125" style="0" customWidth="1"/>
    <col min="5" max="5" width="11.7109375" style="0" customWidth="1"/>
    <col min="6" max="6" width="6.7109375" style="0" customWidth="1"/>
    <col min="7" max="9" width="2.421875" style="0" customWidth="1"/>
    <col min="11" max="11" width="6.7109375" style="0" customWidth="1"/>
    <col min="12" max="12" width="8.00390625" style="0" customWidth="1"/>
    <col min="13" max="13" width="8.140625" style="0" customWidth="1"/>
    <col min="14" max="14" width="7.7109375" style="0" customWidth="1"/>
    <col min="15" max="15" width="12.28125" style="0" customWidth="1"/>
    <col min="16" max="17" width="6.421875" style="0" customWidth="1"/>
    <col min="20" max="20" width="13.7109375" style="0" customWidth="1"/>
    <col min="21" max="21" width="6.28125" style="0" customWidth="1"/>
    <col min="23" max="23" width="3.00390625" style="0" customWidth="1"/>
    <col min="25" max="27" width="0" style="0" hidden="1" customWidth="1"/>
  </cols>
  <sheetData>
    <row r="2" spans="3:23" ht="27" customHeight="1">
      <c r="C2" s="75" t="s">
        <v>70</v>
      </c>
      <c r="D2" s="75"/>
      <c r="E2" s="75"/>
      <c r="F2" s="75"/>
      <c r="G2" s="7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3:23" ht="30.75">
      <c r="C3" s="23" t="s">
        <v>54</v>
      </c>
      <c r="I3" s="5"/>
      <c r="J3" s="4" t="s">
        <v>44</v>
      </c>
      <c r="K3" s="4"/>
      <c r="L3" s="4"/>
      <c r="M3" s="4"/>
      <c r="N3" s="4"/>
      <c r="O3" s="4"/>
      <c r="P3" s="5"/>
      <c r="Q3" s="5"/>
      <c r="R3" s="5"/>
      <c r="S3" s="55" t="s">
        <v>56</v>
      </c>
      <c r="T3" s="5"/>
      <c r="U3" s="56">
        <f>+D8/D11</f>
        <v>20</v>
      </c>
      <c r="V3" s="57" t="s">
        <v>57</v>
      </c>
      <c r="W3" s="5"/>
    </row>
    <row r="4" spans="9:23" ht="7.5" customHeight="1">
      <c r="I4" s="5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W4" s="5"/>
    </row>
    <row r="5" spans="2:23" ht="9" customHeight="1">
      <c r="B5" s="24"/>
      <c r="C5" s="25"/>
      <c r="D5" s="25"/>
      <c r="E5" s="25"/>
      <c r="F5" s="25"/>
      <c r="G5" s="2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5" ht="14.25">
      <c r="B6" s="27" t="s">
        <v>51</v>
      </c>
      <c r="C6" s="54" t="s">
        <v>45</v>
      </c>
      <c r="D6" s="28"/>
      <c r="E6" s="28"/>
      <c r="F6" s="28"/>
      <c r="G6" s="29"/>
      <c r="H6" s="5"/>
      <c r="I6" s="5"/>
      <c r="J6" s="10" t="s">
        <v>41</v>
      </c>
      <c r="K6" s="10"/>
      <c r="L6" s="11"/>
      <c r="M6" s="11"/>
      <c r="N6" s="11"/>
      <c r="O6" s="11"/>
      <c r="P6" s="5"/>
      <c r="Q6" s="5"/>
      <c r="R6" s="10" t="s">
        <v>42</v>
      </c>
      <c r="S6" s="11"/>
      <c r="T6" s="11"/>
      <c r="U6" s="11">
        <f>+L9</f>
        <v>30</v>
      </c>
      <c r="V6" s="11" t="s">
        <v>0</v>
      </c>
      <c r="W6" s="5"/>
      <c r="Y6" t="s">
        <v>63</v>
      </c>
    </row>
    <row r="7" spans="2:27" ht="14.25">
      <c r="B7" s="27"/>
      <c r="C7" s="28" t="s">
        <v>6</v>
      </c>
      <c r="D7" s="49">
        <v>1000</v>
      </c>
      <c r="E7" s="28" t="s">
        <v>26</v>
      </c>
      <c r="F7" s="28"/>
      <c r="G7" s="29"/>
      <c r="H7" s="5"/>
      <c r="I7" s="5"/>
      <c r="J7" s="47" t="s">
        <v>29</v>
      </c>
      <c r="K7" s="53" t="s">
        <v>14</v>
      </c>
      <c r="L7" s="53" t="s">
        <v>15</v>
      </c>
      <c r="M7" s="53" t="s">
        <v>3</v>
      </c>
      <c r="N7" s="53" t="s">
        <v>33</v>
      </c>
      <c r="O7" s="46" t="s">
        <v>34</v>
      </c>
      <c r="P7" s="12" t="s">
        <v>50</v>
      </c>
      <c r="Q7" s="12"/>
      <c r="R7" s="46" t="s">
        <v>1</v>
      </c>
      <c r="S7" s="46" t="s">
        <v>2</v>
      </c>
      <c r="T7" s="46" t="s">
        <v>3</v>
      </c>
      <c r="U7" s="48" t="s">
        <v>4</v>
      </c>
      <c r="V7" s="41" t="s">
        <v>5</v>
      </c>
      <c r="W7" s="5"/>
      <c r="Y7" s="71" t="s">
        <v>64</v>
      </c>
      <c r="Z7" s="71" t="s">
        <v>65</v>
      </c>
      <c r="AA7" s="71"/>
    </row>
    <row r="8" spans="2:25" ht="14.25">
      <c r="B8" s="32"/>
      <c r="C8" s="28" t="s">
        <v>20</v>
      </c>
      <c r="D8" s="51">
        <v>1</v>
      </c>
      <c r="E8" s="28"/>
      <c r="F8" s="28"/>
      <c r="G8" s="29"/>
      <c r="H8" s="5"/>
      <c r="I8" s="5"/>
      <c r="J8" s="5" t="s">
        <v>30</v>
      </c>
      <c r="K8" s="20">
        <v>0</v>
      </c>
      <c r="L8" s="20">
        <v>0</v>
      </c>
      <c r="M8" s="65">
        <f>+M25</f>
        <v>0.29</v>
      </c>
      <c r="N8" s="65">
        <f>+D9-D18</f>
        <v>97</v>
      </c>
      <c r="O8">
        <f>ROUNDUP(+M8*N8*D17,0)</f>
        <v>282</v>
      </c>
      <c r="P8" s="12" t="s">
        <v>47</v>
      </c>
      <c r="Q8" s="59" t="s">
        <v>30</v>
      </c>
      <c r="R8" s="7">
        <f>ROUNDUP((+T9/T8)*L9/(1+(M9/M8)),0)</f>
        <v>13</v>
      </c>
      <c r="S8" s="15">
        <f>+T8*D$18*D$17</f>
        <v>8.7</v>
      </c>
      <c r="T8" s="13">
        <f>+M8</f>
        <v>0.29</v>
      </c>
      <c r="U8" s="5">
        <f>+R8</f>
        <v>13</v>
      </c>
      <c r="V8" s="42">
        <f>+T8*U8*D17</f>
        <v>37.699999999999996</v>
      </c>
      <c r="W8" s="5"/>
      <c r="Y8" s="3"/>
    </row>
    <row r="9" spans="2:23" ht="14.25">
      <c r="B9" s="27" t="s">
        <v>27</v>
      </c>
      <c r="C9" s="28" t="s">
        <v>7</v>
      </c>
      <c r="D9" s="50">
        <v>100</v>
      </c>
      <c r="E9" s="28" t="s">
        <v>8</v>
      </c>
      <c r="F9" s="28"/>
      <c r="G9" s="29"/>
      <c r="H9" s="5"/>
      <c r="I9" s="5"/>
      <c r="J9" s="5" t="s">
        <v>31</v>
      </c>
      <c r="K9" s="69">
        <f>+D13</f>
        <v>0.3</v>
      </c>
      <c r="L9" s="20">
        <f>ROUNDUP(+K9*D9,0)</f>
        <v>30</v>
      </c>
      <c r="M9" s="65">
        <f>ROUNDUP(+O9/N9/D17,2)</f>
        <v>0.22</v>
      </c>
      <c r="N9" s="65">
        <f>(+D$9*(1-K9))-D$18</f>
        <v>67</v>
      </c>
      <c r="O9">
        <f>ROUNDUP((O12-O8)*D13/(D13+D14+D15),0)</f>
        <v>144</v>
      </c>
      <c r="P9" s="12" t="s">
        <v>48</v>
      </c>
      <c r="Q9" s="59" t="s">
        <v>31</v>
      </c>
      <c r="R9" s="7">
        <f>+R8</f>
        <v>13</v>
      </c>
      <c r="S9" s="7">
        <f>+T9*D$18*D$17</f>
        <v>6.6000000000000005</v>
      </c>
      <c r="T9" s="5">
        <f>+M9</f>
        <v>0.22</v>
      </c>
      <c r="U9" s="7">
        <f>(+R8-L9)*-1</f>
        <v>17</v>
      </c>
      <c r="V9" s="42">
        <f>+T9*U9*-D17</f>
        <v>-37.400000000000006</v>
      </c>
      <c r="W9" s="5"/>
    </row>
    <row r="10" spans="2:24" ht="14.25">
      <c r="B10" s="27" t="s">
        <v>27</v>
      </c>
      <c r="C10" s="28" t="s">
        <v>11</v>
      </c>
      <c r="D10" s="50">
        <v>17</v>
      </c>
      <c r="E10" s="28" t="s">
        <v>0</v>
      </c>
      <c r="F10" s="28"/>
      <c r="G10" s="29"/>
      <c r="H10" s="5"/>
      <c r="I10" s="5"/>
      <c r="J10" s="5" t="s">
        <v>32</v>
      </c>
      <c r="K10" s="69">
        <f>+D14</f>
        <v>0.5</v>
      </c>
      <c r="L10" s="20">
        <f>ROUNDUP(+D9*K10,0)</f>
        <v>50</v>
      </c>
      <c r="M10" s="65">
        <f>ROUNDUP(IF(D14=0,0,+O10/N10/D17),2)</f>
        <v>0.52</v>
      </c>
      <c r="N10" s="65">
        <f>(+D$9*(1-K10))-D$18</f>
        <v>47</v>
      </c>
      <c r="O10">
        <f>ROUNDUP((O12-O8)*D14/(D13+D14+D15),0)</f>
        <v>240</v>
      </c>
      <c r="P10" s="12" t="s">
        <v>48</v>
      </c>
      <c r="Q10" s="12"/>
      <c r="R10" s="7"/>
      <c r="S10" s="44">
        <f>+S8+S9</f>
        <v>15.3</v>
      </c>
      <c r="T10" s="5"/>
      <c r="U10" s="17">
        <f>+U8-U9</f>
        <v>-4</v>
      </c>
      <c r="V10" s="43">
        <f>SUM(V8:V9)</f>
        <v>0.29999999999999005</v>
      </c>
      <c r="W10" s="5"/>
      <c r="X10" s="3"/>
    </row>
    <row r="11" spans="2:23" ht="14.25">
      <c r="B11" s="27"/>
      <c r="C11" s="28" t="s">
        <v>12</v>
      </c>
      <c r="D11" s="51">
        <v>0.05</v>
      </c>
      <c r="E11" s="30"/>
      <c r="F11" s="30"/>
      <c r="G11" s="31"/>
      <c r="H11" s="6"/>
      <c r="I11" s="6"/>
      <c r="J11" s="5" t="s">
        <v>61</v>
      </c>
      <c r="K11" s="69">
        <f>+D15</f>
        <v>0.7</v>
      </c>
      <c r="L11" s="20">
        <f>ROUNDUP(+D9*K11,0)</f>
        <v>70</v>
      </c>
      <c r="M11" s="67">
        <f>ROUNDUP(IF(D15=0,0,+O11/N11/D17),2)</f>
        <v>1.25</v>
      </c>
      <c r="N11" s="73">
        <f>ROUND(IF(D15=0,0,+D9-L11-D18),0)</f>
        <v>27</v>
      </c>
      <c r="O11" s="60">
        <f>IF(D15=0,0,(ROUND((O12-O8)*D15/(D13+D14+D15),0)))</f>
        <v>335</v>
      </c>
      <c r="P11" s="12" t="s">
        <v>49</v>
      </c>
      <c r="Q11" s="5"/>
      <c r="R11" s="5"/>
      <c r="S11" s="5"/>
      <c r="T11" s="5"/>
      <c r="U11" s="5"/>
      <c r="V11" s="8"/>
      <c r="W11" s="5"/>
    </row>
    <row r="12" spans="2:23" ht="14.25">
      <c r="B12" s="27" t="s">
        <v>28</v>
      </c>
      <c r="C12" s="28" t="s">
        <v>19</v>
      </c>
      <c r="D12" s="50">
        <v>13</v>
      </c>
      <c r="E12" s="28"/>
      <c r="F12" s="28"/>
      <c r="G12" s="29"/>
      <c r="H12" s="5"/>
      <c r="I12" s="5"/>
      <c r="J12" s="5"/>
      <c r="K12" s="5"/>
      <c r="L12" s="17"/>
      <c r="M12" s="17"/>
      <c r="N12" s="17" t="s">
        <v>52</v>
      </c>
      <c r="O12">
        <f>ROUND(+D7*D8,0)</f>
        <v>1000</v>
      </c>
      <c r="P12" s="5"/>
      <c r="Q12" s="5"/>
      <c r="R12" s="10" t="s">
        <v>43</v>
      </c>
      <c r="S12" s="11"/>
      <c r="T12" s="11"/>
      <c r="U12" s="11">
        <f>ROUND(+D9*D14,0)</f>
        <v>50</v>
      </c>
      <c r="V12" s="11" t="s">
        <v>0</v>
      </c>
      <c r="W12" s="5"/>
    </row>
    <row r="13" spans="2:23" ht="14.25">
      <c r="B13" s="27"/>
      <c r="C13" s="28" t="s">
        <v>17</v>
      </c>
      <c r="D13" s="51">
        <v>0.3</v>
      </c>
      <c r="E13" s="28"/>
      <c r="F13" s="28"/>
      <c r="G13" s="29"/>
      <c r="H13" s="5"/>
      <c r="I13" s="5"/>
      <c r="J13" s="5"/>
      <c r="K13" s="5"/>
      <c r="L13" s="5"/>
      <c r="M13" s="5"/>
      <c r="N13" s="5"/>
      <c r="O13" s="18">
        <f>SUM(O8:O11)</f>
        <v>1001</v>
      </c>
      <c r="P13" s="5"/>
      <c r="Q13" s="5"/>
      <c r="R13" s="46" t="s">
        <v>1</v>
      </c>
      <c r="S13" s="46" t="s">
        <v>2</v>
      </c>
      <c r="T13" s="46" t="s">
        <v>3</v>
      </c>
      <c r="U13" s="48" t="s">
        <v>4</v>
      </c>
      <c r="V13" s="41" t="s">
        <v>5</v>
      </c>
      <c r="W13" s="5"/>
    </row>
    <row r="14" spans="2:27" ht="14.25">
      <c r="B14" s="27"/>
      <c r="C14" s="28" t="s">
        <v>18</v>
      </c>
      <c r="D14" s="51">
        <v>0.5</v>
      </c>
      <c r="E14" s="28"/>
      <c r="F14" s="28"/>
      <c r="G14" s="29"/>
      <c r="H14" s="5"/>
      <c r="I14" s="5"/>
      <c r="J14" s="5"/>
      <c r="K14" s="5"/>
      <c r="L14" s="5"/>
      <c r="M14" s="5"/>
      <c r="N14" s="5"/>
      <c r="O14" s="5"/>
      <c r="P14" s="5"/>
      <c r="Q14" s="59" t="s">
        <v>36</v>
      </c>
      <c r="R14" s="7">
        <f>ROUNDUP((((+M9*L9)+(M10*L10))/(M8+M9+M10)),0)</f>
        <v>32</v>
      </c>
      <c r="S14" s="15">
        <f>IF(D$14=0,"    N/A",+T14*D$18*D$17)</f>
        <v>8.7</v>
      </c>
      <c r="T14" s="65">
        <f>IF(D$14=0,"     N/A",+M8)</f>
        <v>0.29</v>
      </c>
      <c r="U14" s="19">
        <f>IF(D14=0,"     N/A",+R14)</f>
        <v>32</v>
      </c>
      <c r="V14" s="42">
        <f>IF(D14=0,"   N/A",+T14*U14*D17)</f>
        <v>92.8</v>
      </c>
      <c r="W14" s="5"/>
      <c r="Y14" s="71" t="s">
        <v>66</v>
      </c>
      <c r="Z14" s="71" t="s">
        <v>65</v>
      </c>
      <c r="AA14" s="71"/>
    </row>
    <row r="15" spans="2:23" ht="14.25">
      <c r="B15" s="27" t="s">
        <v>28</v>
      </c>
      <c r="C15" s="28" t="s">
        <v>60</v>
      </c>
      <c r="D15" s="51">
        <v>0.7</v>
      </c>
      <c r="E15" s="28"/>
      <c r="F15" s="28"/>
      <c r="G15" s="29"/>
      <c r="H15" s="5"/>
      <c r="I15" s="5"/>
      <c r="J15" s="10" t="s">
        <v>40</v>
      </c>
      <c r="K15" s="11"/>
      <c r="L15" s="11"/>
      <c r="M15" s="11"/>
      <c r="N15" s="11"/>
      <c r="O15" s="11"/>
      <c r="P15" s="5"/>
      <c r="Q15" s="59" t="s">
        <v>31</v>
      </c>
      <c r="R15" s="7">
        <f>+R14</f>
        <v>32</v>
      </c>
      <c r="S15" s="15">
        <f>IF(D$14=0,"    N/A",+T15*D$18*D$17)</f>
        <v>6.6000000000000005</v>
      </c>
      <c r="T15" s="65">
        <f>IF(D$14=0,"     N/A",+M9)</f>
        <v>0.22</v>
      </c>
      <c r="U15" s="19">
        <f>IF(D14=0,"     N/A",+R15-L9)</f>
        <v>2</v>
      </c>
      <c r="V15" s="42">
        <f>IF(D14=0,"   N/A",+T15*U15*D17)</f>
        <v>4.4</v>
      </c>
      <c r="W15" s="5"/>
    </row>
    <row r="16" spans="2:23" ht="14.25">
      <c r="B16" s="33"/>
      <c r="C16" s="28" t="s">
        <v>53</v>
      </c>
      <c r="D16" s="52">
        <v>6</v>
      </c>
      <c r="E16" s="28"/>
      <c r="F16" s="28"/>
      <c r="G16" s="29"/>
      <c r="H16" s="7"/>
      <c r="I16" s="7"/>
      <c r="J16" s="47" t="s">
        <v>29</v>
      </c>
      <c r="K16" s="47" t="s">
        <v>35</v>
      </c>
      <c r="L16" s="47"/>
      <c r="M16" s="53" t="s">
        <v>15</v>
      </c>
      <c r="N16" s="12" t="s">
        <v>50</v>
      </c>
      <c r="O16" s="5"/>
      <c r="P16" s="5"/>
      <c r="Q16" s="59" t="s">
        <v>32</v>
      </c>
      <c r="R16" s="7">
        <f>+R15</f>
        <v>32</v>
      </c>
      <c r="S16" s="15">
        <f>IF(D$14=0,"    N/A",+T16*D$18*D$17)</f>
        <v>15.600000000000001</v>
      </c>
      <c r="T16" s="65">
        <f>IF(D$14=0,"     N/A",+M10)</f>
        <v>0.52</v>
      </c>
      <c r="U16" s="40">
        <f>IF(D14=0,"     N/A",(+R16-L10)*-1)</f>
        <v>18</v>
      </c>
      <c r="V16" s="42">
        <f>IF(D14=0,"   N/A",+U16*T16*-D17)</f>
        <v>-93.6</v>
      </c>
      <c r="W16" s="5"/>
    </row>
    <row r="17" spans="2:23" ht="14.25">
      <c r="B17" s="27"/>
      <c r="C17" s="28" t="s">
        <v>9</v>
      </c>
      <c r="D17" s="50">
        <v>10</v>
      </c>
      <c r="E17" s="28" t="s">
        <v>10</v>
      </c>
      <c r="F17" s="28"/>
      <c r="G17" s="29"/>
      <c r="H17" s="5"/>
      <c r="I17" s="5"/>
      <c r="J17" s="5" t="s">
        <v>36</v>
      </c>
      <c r="K17" s="5" t="s">
        <v>37</v>
      </c>
      <c r="L17" s="5"/>
      <c r="M17" s="20">
        <f>+D10</f>
        <v>17</v>
      </c>
      <c r="N17" s="12" t="s">
        <v>46</v>
      </c>
      <c r="O17" s="5"/>
      <c r="P17" s="5"/>
      <c r="Q17" s="5"/>
      <c r="R17" s="7"/>
      <c r="S17" s="45">
        <f>SUM(S14:S16)</f>
        <v>30.900000000000002</v>
      </c>
      <c r="T17" s="20"/>
      <c r="U17" s="21"/>
      <c r="V17" s="43">
        <f>SUM(V14:V16)</f>
        <v>3.6000000000000085</v>
      </c>
      <c r="W17" s="5"/>
    </row>
    <row r="18" spans="2:23" ht="14.25">
      <c r="B18" s="33"/>
      <c r="C18" s="28" t="s">
        <v>21</v>
      </c>
      <c r="D18" s="52">
        <v>3</v>
      </c>
      <c r="E18" s="28"/>
      <c r="F18" s="28"/>
      <c r="G18" s="29"/>
      <c r="H18" s="5"/>
      <c r="I18" s="5"/>
      <c r="J18" s="5" t="s">
        <v>31</v>
      </c>
      <c r="K18" s="5" t="s">
        <v>38</v>
      </c>
      <c r="L18" s="5"/>
      <c r="M18" s="20">
        <f>+U9</f>
        <v>17</v>
      </c>
      <c r="N18" s="12" t="s">
        <v>46</v>
      </c>
      <c r="O18" s="5"/>
      <c r="P18" s="5"/>
      <c r="Q18" s="5"/>
      <c r="W18" s="5"/>
    </row>
    <row r="19" spans="2:23" ht="14.25">
      <c r="B19" s="33"/>
      <c r="C19" s="28"/>
      <c r="D19" s="28"/>
      <c r="E19" s="28"/>
      <c r="F19" s="28"/>
      <c r="G19" s="29"/>
      <c r="H19" s="5"/>
      <c r="I19" s="5"/>
      <c r="J19" s="5" t="s">
        <v>32</v>
      </c>
      <c r="K19" s="5" t="s">
        <v>38</v>
      </c>
      <c r="L19" s="5"/>
      <c r="M19" s="58">
        <f>+U16</f>
        <v>18</v>
      </c>
      <c r="N19" s="12" t="s">
        <v>46</v>
      </c>
      <c r="O19" s="5"/>
      <c r="P19" s="5"/>
      <c r="Q19" s="5"/>
      <c r="R19" s="10" t="s">
        <v>62</v>
      </c>
      <c r="S19" s="11"/>
      <c r="T19" s="11"/>
      <c r="U19" s="11">
        <f>ROUND(+D15*D9,0)</f>
        <v>70</v>
      </c>
      <c r="V19" s="11" t="s">
        <v>0</v>
      </c>
      <c r="W19" s="5"/>
    </row>
    <row r="20" spans="2:23" ht="14.25">
      <c r="B20" s="33"/>
      <c r="C20" s="28" t="s">
        <v>22</v>
      </c>
      <c r="D20" s="28"/>
      <c r="E20" s="28"/>
      <c r="F20" s="28"/>
      <c r="G20" s="29"/>
      <c r="H20" s="5"/>
      <c r="I20" s="5"/>
      <c r="J20" s="5" t="s">
        <v>61</v>
      </c>
      <c r="K20" s="5" t="s">
        <v>38</v>
      </c>
      <c r="L20" s="5"/>
      <c r="M20" s="58">
        <f>IF(D15=0,"N/A",-U24)</f>
        <v>17</v>
      </c>
      <c r="N20" s="12" t="s">
        <v>46</v>
      </c>
      <c r="O20" s="5"/>
      <c r="P20" s="5"/>
      <c r="Q20" s="5"/>
      <c r="R20" s="46" t="s">
        <v>1</v>
      </c>
      <c r="S20" s="46" t="s">
        <v>2</v>
      </c>
      <c r="T20" s="46" t="s">
        <v>3</v>
      </c>
      <c r="U20" s="48" t="s">
        <v>4</v>
      </c>
      <c r="V20" s="41" t="s">
        <v>5</v>
      </c>
      <c r="W20" s="5"/>
    </row>
    <row r="21" spans="2:27" ht="14.25">
      <c r="B21" s="33"/>
      <c r="C21" s="28" t="s">
        <v>23</v>
      </c>
      <c r="D21" s="16"/>
      <c r="E21" s="28"/>
      <c r="F21" s="28"/>
      <c r="G21" s="29"/>
      <c r="H21" s="5"/>
      <c r="I21" s="5"/>
      <c r="O21" s="5"/>
      <c r="P21" s="5"/>
      <c r="Q21" s="59" t="s">
        <v>36</v>
      </c>
      <c r="R21" s="61">
        <f>IF(D15=0,"NA",ROUNDUP((((+M9*L9)+(M10*L10)+(M11*L11))/(M8+M9+M10+M11)),0))</f>
        <v>53</v>
      </c>
      <c r="S21" s="64">
        <f>IF(D15=0,"N/A",+S8)</f>
        <v>8.7</v>
      </c>
      <c r="T21" s="65">
        <f>IF(D15=0,"N/A",+M8)</f>
        <v>0.29</v>
      </c>
      <c r="U21" s="58">
        <f>+R21</f>
        <v>53</v>
      </c>
      <c r="V21" s="63">
        <f>IF(D15=0,"NA",+T21*U21*D17)</f>
        <v>153.7</v>
      </c>
      <c r="W21" s="5"/>
      <c r="Y21" s="71" t="s">
        <v>67</v>
      </c>
      <c r="Z21" s="71" t="s">
        <v>65</v>
      </c>
      <c r="AA21" s="71"/>
    </row>
    <row r="22" spans="2:23" ht="14.25">
      <c r="B22" s="33"/>
      <c r="C22" s="28"/>
      <c r="D22" s="28"/>
      <c r="E22" s="28"/>
      <c r="F22" s="28"/>
      <c r="G22" s="29"/>
      <c r="H22" s="5"/>
      <c r="I22" s="5"/>
      <c r="J22" s="5"/>
      <c r="K22" s="5"/>
      <c r="L22" s="5"/>
      <c r="M22" s="5"/>
      <c r="N22" s="5"/>
      <c r="O22" s="5"/>
      <c r="P22" s="5"/>
      <c r="Q22" s="59" t="s">
        <v>31</v>
      </c>
      <c r="R22" s="61">
        <f>+R21</f>
        <v>53</v>
      </c>
      <c r="S22" s="64">
        <f>+S15</f>
        <v>6.6000000000000005</v>
      </c>
      <c r="T22" s="65">
        <f>+M9</f>
        <v>0.22</v>
      </c>
      <c r="U22" s="58">
        <f>IF(D15=0,"NA",+R22-L9)</f>
        <v>23</v>
      </c>
      <c r="V22" s="63">
        <f>IF(D15=0,"NA",+T22*U22*D17)</f>
        <v>50.599999999999994</v>
      </c>
      <c r="W22" s="5"/>
    </row>
    <row r="23" spans="2:23" ht="14.25">
      <c r="B23" s="33"/>
      <c r="C23" s="28" t="s">
        <v>24</v>
      </c>
      <c r="D23" s="28"/>
      <c r="E23" s="28"/>
      <c r="F23" s="34"/>
      <c r="G23" s="29"/>
      <c r="H23" s="5"/>
      <c r="I23" s="5"/>
      <c r="J23" s="10" t="s">
        <v>39</v>
      </c>
      <c r="K23" s="11"/>
      <c r="L23" s="11"/>
      <c r="M23" s="11"/>
      <c r="N23" s="11"/>
      <c r="O23" s="11"/>
      <c r="P23" s="5"/>
      <c r="Q23" s="59" t="s">
        <v>32</v>
      </c>
      <c r="R23" s="61">
        <f>+R22</f>
        <v>53</v>
      </c>
      <c r="S23" s="64">
        <f>+S16</f>
        <v>15.600000000000001</v>
      </c>
      <c r="T23" s="65">
        <f>+M10</f>
        <v>0.52</v>
      </c>
      <c r="U23" s="61">
        <f>IF(D15=0,"NA",+R23-L10)</f>
        <v>3</v>
      </c>
      <c r="V23" s="63">
        <f>IF(D15=0,"NA",+T23*U23*D17)</f>
        <v>15.600000000000001</v>
      </c>
      <c r="W23" s="5"/>
    </row>
    <row r="24" spans="2:23" ht="14.25">
      <c r="B24" s="33"/>
      <c r="C24" s="35" t="s">
        <v>25</v>
      </c>
      <c r="D24" s="35"/>
      <c r="E24" s="35"/>
      <c r="F24" s="35"/>
      <c r="G24" s="36"/>
      <c r="H24" s="9"/>
      <c r="I24" s="5"/>
      <c r="J24" s="5"/>
      <c r="K24" s="5"/>
      <c r="L24" s="5"/>
      <c r="M24" s="46" t="s">
        <v>13</v>
      </c>
      <c r="N24" s="46" t="s">
        <v>16</v>
      </c>
      <c r="O24" s="46" t="s">
        <v>55</v>
      </c>
      <c r="P24" s="5"/>
      <c r="Q24" s="59" t="s">
        <v>61</v>
      </c>
      <c r="R24" s="62">
        <f>+R23</f>
        <v>53</v>
      </c>
      <c r="S24" s="64">
        <f>IF(D15=0,"N/A",+T24*D18*D17)</f>
        <v>37.5</v>
      </c>
      <c r="T24" s="66">
        <f>+M11</f>
        <v>1.25</v>
      </c>
      <c r="U24" s="62">
        <f>IF(D15=0,"NA",(+U19-R24)*-1)</f>
        <v>-17</v>
      </c>
      <c r="V24" s="63">
        <f>IF(D15=0,"NA",+T24*U24*D17)</f>
        <v>-212.5</v>
      </c>
      <c r="W24" s="5"/>
    </row>
    <row r="25" spans="2:23" ht="14.25">
      <c r="B25" s="37"/>
      <c r="C25" s="38"/>
      <c r="D25" s="38"/>
      <c r="E25" s="38"/>
      <c r="F25" s="38"/>
      <c r="G25" s="39"/>
      <c r="H25" s="7"/>
      <c r="I25" s="7"/>
      <c r="J25" s="5"/>
      <c r="K25" s="5"/>
      <c r="L25" s="5"/>
      <c r="M25">
        <f>ROUND((+O25/N25/D17),2)</f>
        <v>0.29</v>
      </c>
      <c r="N25" s="14">
        <f>+D10</f>
        <v>17</v>
      </c>
      <c r="O25" s="22">
        <f>+D7*D11</f>
        <v>50</v>
      </c>
      <c r="P25" s="5"/>
      <c r="Q25" s="5"/>
      <c r="R25" s="7"/>
      <c r="S25" s="45">
        <f>SUM(S21:S24)</f>
        <v>68.4</v>
      </c>
      <c r="T25" s="20"/>
      <c r="U25" s="21"/>
      <c r="V25" s="63">
        <f>SUM(V21:V24)</f>
        <v>7.399999999999977</v>
      </c>
      <c r="W25" s="5"/>
    </row>
    <row r="26" spans="3:9" ht="14.25">
      <c r="C26" s="1"/>
      <c r="D26" s="1"/>
      <c r="E26" s="1"/>
      <c r="F26" s="1"/>
      <c r="G26" s="1"/>
      <c r="H26" s="1"/>
      <c r="I26" s="1"/>
    </row>
    <row r="27" spans="2:9" ht="14.25">
      <c r="B27" t="s">
        <v>59</v>
      </c>
      <c r="C27" s="1"/>
      <c r="D27" s="1"/>
      <c r="E27" s="1"/>
      <c r="F27" s="1"/>
      <c r="G27" s="1"/>
      <c r="H27" s="1"/>
      <c r="I27" s="1"/>
    </row>
    <row r="28" ht="14.25">
      <c r="B28" t="s">
        <v>58</v>
      </c>
    </row>
    <row r="29" ht="14.25">
      <c r="C29" s="2"/>
    </row>
    <row r="30" ht="14.25">
      <c r="C30" s="2"/>
    </row>
    <row r="31" ht="14.25">
      <c r="D31" s="2"/>
    </row>
  </sheetData>
  <sheetProtection/>
  <mergeCells count="1">
    <mergeCell ref="C2:G2"/>
  </mergeCells>
  <conditionalFormatting sqref="M17:M20">
    <cfRule type="cellIs" priority="1" dxfId="2" operator="lessThan">
      <formula>$D$18+$D$16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31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2.28125" style="0" customWidth="1"/>
    <col min="2" max="2" width="5.421875" style="0" customWidth="1"/>
    <col min="3" max="3" width="22.7109375" style="0" customWidth="1"/>
    <col min="4" max="4" width="9.28125" style="0" customWidth="1"/>
    <col min="5" max="5" width="11.7109375" style="0" customWidth="1"/>
    <col min="6" max="6" width="6.7109375" style="0" customWidth="1"/>
    <col min="7" max="9" width="2.421875" style="0" customWidth="1"/>
    <col min="11" max="11" width="6.7109375" style="0" customWidth="1"/>
    <col min="12" max="12" width="8.00390625" style="0" customWidth="1"/>
    <col min="13" max="13" width="8.140625" style="0" customWidth="1"/>
    <col min="14" max="14" width="7.7109375" style="0" customWidth="1"/>
    <col min="15" max="15" width="12.28125" style="0" customWidth="1"/>
    <col min="16" max="17" width="6.421875" style="0" customWidth="1"/>
    <col min="20" max="20" width="13.7109375" style="0" customWidth="1"/>
    <col min="21" max="21" width="6.28125" style="0" customWidth="1"/>
    <col min="23" max="23" width="3.00390625" style="0" customWidth="1"/>
    <col min="25" max="25" width="12.57421875" style="0" hidden="1" customWidth="1"/>
    <col min="26" max="26" width="9.28125" style="0" hidden="1" customWidth="1"/>
    <col min="27" max="27" width="0" style="0" hidden="1" customWidth="1"/>
  </cols>
  <sheetData>
    <row r="2" spans="3:23" ht="27.75" customHeight="1">
      <c r="C2" s="76" t="s">
        <v>71</v>
      </c>
      <c r="D2" s="76"/>
      <c r="E2" s="76"/>
      <c r="F2" s="76"/>
      <c r="G2" s="7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3:23" ht="30.75">
      <c r="C3" s="23" t="s">
        <v>54</v>
      </c>
      <c r="I3" s="5"/>
      <c r="J3" s="4" t="s">
        <v>44</v>
      </c>
      <c r="K3" s="4"/>
      <c r="L3" s="4"/>
      <c r="M3" s="4"/>
      <c r="N3" s="4"/>
      <c r="O3" s="4"/>
      <c r="P3" s="5"/>
      <c r="Q3" s="5"/>
      <c r="R3" s="5"/>
      <c r="S3" s="55" t="s">
        <v>56</v>
      </c>
      <c r="T3" s="5"/>
      <c r="U3" s="56">
        <f>+D8/D11</f>
        <v>20</v>
      </c>
      <c r="V3" s="57" t="s">
        <v>57</v>
      </c>
      <c r="W3" s="5"/>
    </row>
    <row r="4" spans="9:23" ht="7.5" customHeight="1">
      <c r="I4" s="5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W4" s="5"/>
    </row>
    <row r="5" spans="2:23" ht="9" customHeight="1">
      <c r="B5" s="24"/>
      <c r="C5" s="25"/>
      <c r="D5" s="25"/>
      <c r="E5" s="25"/>
      <c r="F5" s="25"/>
      <c r="G5" s="2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5" ht="14.25">
      <c r="B6" s="27" t="s">
        <v>51</v>
      </c>
      <c r="C6" s="54" t="s">
        <v>45</v>
      </c>
      <c r="D6" s="28"/>
      <c r="E6" s="28"/>
      <c r="F6" s="28"/>
      <c r="G6" s="29"/>
      <c r="H6" s="5"/>
      <c r="I6" s="5"/>
      <c r="J6" s="10" t="s">
        <v>41</v>
      </c>
      <c r="K6" s="10"/>
      <c r="L6" s="11"/>
      <c r="M6" s="11"/>
      <c r="N6" s="11"/>
      <c r="O6" s="11"/>
      <c r="P6" s="5"/>
      <c r="Q6" s="5"/>
      <c r="R6" s="10" t="s">
        <v>42</v>
      </c>
      <c r="S6" s="11"/>
      <c r="T6" s="11"/>
      <c r="U6" s="11">
        <f>+L9</f>
        <v>30</v>
      </c>
      <c r="V6" s="11" t="s">
        <v>0</v>
      </c>
      <c r="W6" s="5"/>
      <c r="Y6" t="s">
        <v>63</v>
      </c>
    </row>
    <row r="7" spans="2:27" ht="14.25">
      <c r="B7" s="27"/>
      <c r="C7" s="28" t="s">
        <v>6</v>
      </c>
      <c r="D7" s="49">
        <v>1000</v>
      </c>
      <c r="E7" s="28" t="s">
        <v>26</v>
      </c>
      <c r="F7" s="28"/>
      <c r="G7" s="29"/>
      <c r="H7" s="5"/>
      <c r="I7" s="5"/>
      <c r="J7" s="47" t="s">
        <v>29</v>
      </c>
      <c r="K7" s="53" t="s">
        <v>14</v>
      </c>
      <c r="L7" s="53" t="s">
        <v>15</v>
      </c>
      <c r="M7" s="53" t="s">
        <v>3</v>
      </c>
      <c r="N7" s="53" t="s">
        <v>33</v>
      </c>
      <c r="O7" s="46" t="s">
        <v>34</v>
      </c>
      <c r="P7" s="12" t="s">
        <v>50</v>
      </c>
      <c r="Q7" s="12"/>
      <c r="R7" s="46" t="s">
        <v>1</v>
      </c>
      <c r="S7" s="46" t="s">
        <v>2</v>
      </c>
      <c r="T7" s="46" t="s">
        <v>3</v>
      </c>
      <c r="U7" s="48" t="s">
        <v>4</v>
      </c>
      <c r="V7" s="41" t="s">
        <v>5</v>
      </c>
      <c r="W7" s="5"/>
      <c r="Y7" s="71" t="s">
        <v>64</v>
      </c>
      <c r="Z7" s="71" t="s">
        <v>65</v>
      </c>
      <c r="AA7" s="71"/>
    </row>
    <row r="8" spans="2:26" ht="14.25">
      <c r="B8" s="32"/>
      <c r="C8" s="28" t="s">
        <v>20</v>
      </c>
      <c r="D8" s="51">
        <v>1</v>
      </c>
      <c r="E8" s="28"/>
      <c r="F8" s="28"/>
      <c r="G8" s="29"/>
      <c r="H8" s="5"/>
      <c r="I8" s="5"/>
      <c r="J8" s="5" t="s">
        <v>30</v>
      </c>
      <c r="K8" s="20">
        <v>0</v>
      </c>
      <c r="L8" s="20">
        <v>0</v>
      </c>
      <c r="M8" s="65">
        <f>+M25</f>
        <v>0.25</v>
      </c>
      <c r="N8" s="20">
        <f>+D9-D18</f>
        <v>97</v>
      </c>
      <c r="O8">
        <f>ROUNDUP((+M8*N8*D17),0)</f>
        <v>243</v>
      </c>
      <c r="P8" s="12" t="s">
        <v>47</v>
      </c>
      <c r="Q8" s="59" t="s">
        <v>30</v>
      </c>
      <c r="R8" s="7">
        <f>ROUNDUP((+T9/T8)*L9/(1+(M9/M8)),0)-Z12</f>
        <v>5</v>
      </c>
      <c r="S8" s="15">
        <f>+T8*D$18*D$17</f>
        <v>7.5</v>
      </c>
      <c r="T8" s="13">
        <f>+M8</f>
        <v>0.25</v>
      </c>
      <c r="U8" s="5">
        <f>+R8</f>
        <v>5</v>
      </c>
      <c r="V8" s="42">
        <f>+T8*U8*D17</f>
        <v>12.5</v>
      </c>
      <c r="W8" s="5"/>
      <c r="Y8" s="3" t="s">
        <v>68</v>
      </c>
      <c r="Z8" s="72">
        <f>+O25</f>
        <v>50</v>
      </c>
    </row>
    <row r="9" spans="2:26" ht="14.25">
      <c r="B9" s="27" t="s">
        <v>27</v>
      </c>
      <c r="C9" s="28" t="s">
        <v>7</v>
      </c>
      <c r="D9" s="50">
        <v>100</v>
      </c>
      <c r="E9" s="28" t="s">
        <v>8</v>
      </c>
      <c r="F9" s="28"/>
      <c r="G9" s="29"/>
      <c r="H9" s="5"/>
      <c r="I9" s="5"/>
      <c r="J9" s="5" t="s">
        <v>31</v>
      </c>
      <c r="K9" s="69">
        <f>+D13</f>
        <v>0.3</v>
      </c>
      <c r="L9" s="20">
        <f>ROUNDUP(+K9*D9,0)</f>
        <v>30</v>
      </c>
      <c r="M9" s="66">
        <f>ROUND(((+O9/N9/D$17)),2)</f>
        <v>0.23</v>
      </c>
      <c r="N9" s="20">
        <f>(+D$9*(1-K9))-D$18</f>
        <v>67</v>
      </c>
      <c r="O9">
        <f>ROUNDUP((O12-O8)*D13/(D13+D14+D15),0)</f>
        <v>152</v>
      </c>
      <c r="P9" s="12" t="s">
        <v>48</v>
      </c>
      <c r="Q9" s="59" t="s">
        <v>31</v>
      </c>
      <c r="R9" s="7">
        <f>+R8</f>
        <v>5</v>
      </c>
      <c r="S9" s="7">
        <f>+T9*D$18*D$17</f>
        <v>6.9</v>
      </c>
      <c r="T9" s="5">
        <f>+M9</f>
        <v>0.23</v>
      </c>
      <c r="U9" s="7">
        <f>(+R8-L9)*-1</f>
        <v>25</v>
      </c>
      <c r="V9" s="42">
        <f>+T9*U9*-D17</f>
        <v>-57.5</v>
      </c>
      <c r="W9" s="5"/>
      <c r="Y9" t="s">
        <v>3</v>
      </c>
      <c r="Z9" s="70">
        <f>+T10</f>
        <v>0.48</v>
      </c>
    </row>
    <row r="10" spans="2:26" ht="14.25">
      <c r="B10" s="27" t="s">
        <v>27</v>
      </c>
      <c r="C10" s="28" t="s">
        <v>11</v>
      </c>
      <c r="D10" s="50">
        <v>20</v>
      </c>
      <c r="E10" s="28" t="s">
        <v>0</v>
      </c>
      <c r="F10" s="28"/>
      <c r="G10" s="29"/>
      <c r="H10" s="5"/>
      <c r="I10" s="5"/>
      <c r="J10" s="5" t="s">
        <v>32</v>
      </c>
      <c r="K10" s="69">
        <f>+D14</f>
        <v>0.5</v>
      </c>
      <c r="L10" s="20">
        <f>ROUNDUP(+D9*K10,0)</f>
        <v>50</v>
      </c>
      <c r="M10" s="67">
        <f>ROUND(((+O10/N10/D$17)),2)</f>
        <v>0.54</v>
      </c>
      <c r="N10" s="20">
        <f>(+D$9*(1-K10))-D$18</f>
        <v>47</v>
      </c>
      <c r="O10">
        <f>ROUNDUP((O12-O8)*D14/(D13+D14+D15),0)</f>
        <v>253</v>
      </c>
      <c r="P10" s="12" t="s">
        <v>48</v>
      </c>
      <c r="Q10" s="12"/>
      <c r="R10" s="7"/>
      <c r="S10" s="44">
        <f>+S8+S9</f>
        <v>14.4</v>
      </c>
      <c r="T10" s="74">
        <f>+T8+T9</f>
        <v>0.48</v>
      </c>
      <c r="U10" s="17">
        <f>+U8-U9</f>
        <v>-20</v>
      </c>
      <c r="V10" s="43">
        <f>SUM(V8:V9)</f>
        <v>-45</v>
      </c>
      <c r="W10" s="5"/>
      <c r="X10" s="3"/>
      <c r="Z10">
        <f>+Z8/Z9</f>
        <v>104.16666666666667</v>
      </c>
    </row>
    <row r="11" spans="2:26" ht="14.25">
      <c r="B11" s="27"/>
      <c r="C11" s="28" t="s">
        <v>12</v>
      </c>
      <c r="D11" s="51">
        <v>0.05</v>
      </c>
      <c r="E11" s="30"/>
      <c r="F11" s="30"/>
      <c r="G11" s="31"/>
      <c r="H11" s="6"/>
      <c r="I11" s="6"/>
      <c r="J11" s="5" t="s">
        <v>61</v>
      </c>
      <c r="K11" s="69">
        <f>+D15</f>
        <v>0.7</v>
      </c>
      <c r="L11" s="20">
        <f>ROUNDUP(+D9*K11,0)</f>
        <v>70</v>
      </c>
      <c r="M11" s="67">
        <f>ROUND(((+O11/N11/D$17)),2)</f>
        <v>1.31</v>
      </c>
      <c r="N11" s="68">
        <f>ROUND(IF(D15=0,0,+D9-L11-D18),0)</f>
        <v>27</v>
      </c>
      <c r="O11" s="60">
        <f>IF(D15=0,0,(ROUND((O12-O8)*D15/(D13+D14+D15),0)))</f>
        <v>353</v>
      </c>
      <c r="P11" s="12" t="s">
        <v>49</v>
      </c>
      <c r="Q11" s="5"/>
      <c r="R11" s="5"/>
      <c r="S11" s="5"/>
      <c r="T11" s="5"/>
      <c r="U11" s="5"/>
      <c r="V11" s="8"/>
      <c r="W11" s="5"/>
      <c r="Z11">
        <v>10</v>
      </c>
    </row>
    <row r="12" spans="2:26" ht="14.25">
      <c r="B12" s="27" t="s">
        <v>28</v>
      </c>
      <c r="C12" s="28" t="s">
        <v>19</v>
      </c>
      <c r="D12" s="50">
        <v>18</v>
      </c>
      <c r="E12" s="28"/>
      <c r="F12" s="28"/>
      <c r="G12" s="29"/>
      <c r="H12" s="5"/>
      <c r="I12" s="5"/>
      <c r="J12" s="5"/>
      <c r="K12" s="5"/>
      <c r="L12" s="17"/>
      <c r="M12" s="17"/>
      <c r="N12" s="17" t="s">
        <v>52</v>
      </c>
      <c r="O12">
        <f>ROUND(+D7*D8,0)</f>
        <v>1000</v>
      </c>
      <c r="P12" s="5"/>
      <c r="Q12" s="5"/>
      <c r="R12" s="10" t="s">
        <v>43</v>
      </c>
      <c r="S12" s="11"/>
      <c r="T12" s="11"/>
      <c r="U12" s="11">
        <f>ROUND(+D9*D14,0)</f>
        <v>50</v>
      </c>
      <c r="V12" s="11" t="s">
        <v>0</v>
      </c>
      <c r="W12" s="5"/>
      <c r="Z12">
        <f>ROUND(+Z10/Z11,0)</f>
        <v>10</v>
      </c>
    </row>
    <row r="13" spans="2:23" ht="14.25">
      <c r="B13" s="27"/>
      <c r="C13" s="28" t="s">
        <v>17</v>
      </c>
      <c r="D13" s="51">
        <v>0.3</v>
      </c>
      <c r="E13" s="28"/>
      <c r="F13" s="28"/>
      <c r="G13" s="29"/>
      <c r="H13" s="5"/>
      <c r="I13" s="5"/>
      <c r="J13" s="5"/>
      <c r="K13" s="5"/>
      <c r="L13" s="5"/>
      <c r="M13" s="5"/>
      <c r="N13" s="5"/>
      <c r="O13" s="18">
        <f>SUM(O8:O11)</f>
        <v>1001</v>
      </c>
      <c r="P13" s="5"/>
      <c r="Q13" s="5"/>
      <c r="R13" s="46" t="s">
        <v>1</v>
      </c>
      <c r="S13" s="46" t="s">
        <v>2</v>
      </c>
      <c r="T13" s="46" t="s">
        <v>3</v>
      </c>
      <c r="U13" s="48" t="s">
        <v>4</v>
      </c>
      <c r="V13" s="41" t="s">
        <v>5</v>
      </c>
      <c r="W13" s="5"/>
    </row>
    <row r="14" spans="2:27" ht="14.25">
      <c r="B14" s="27"/>
      <c r="C14" s="28" t="s">
        <v>18</v>
      </c>
      <c r="D14" s="51">
        <v>0.5</v>
      </c>
      <c r="E14" s="28"/>
      <c r="F14" s="28"/>
      <c r="G14" s="29"/>
      <c r="H14" s="5"/>
      <c r="I14" s="5"/>
      <c r="J14" s="5"/>
      <c r="K14" s="5"/>
      <c r="L14" s="5"/>
      <c r="M14" s="5"/>
      <c r="N14" s="5"/>
      <c r="O14" s="5"/>
      <c r="P14" s="5"/>
      <c r="Q14" s="59" t="s">
        <v>36</v>
      </c>
      <c r="R14" s="7">
        <f>ROUNDUP((((+M9*L9)+(M10*L10))/(M8+M9+M10)),0)-Z19</f>
        <v>29</v>
      </c>
      <c r="S14" s="15">
        <f>IF(D$14=0,"    N/A",+T14*D$18*D$17)</f>
        <v>7.5</v>
      </c>
      <c r="T14" s="65">
        <f>IF(D$14=0,"     N/A",+M8)</f>
        <v>0.25</v>
      </c>
      <c r="U14" s="19">
        <f>IF(D14=0,"     N/A",+R14)</f>
        <v>29</v>
      </c>
      <c r="V14" s="42">
        <f>IF(D14=0,"   N/A",+T14*U14*D17)</f>
        <v>72.5</v>
      </c>
      <c r="W14" s="5"/>
      <c r="Y14" s="71" t="s">
        <v>66</v>
      </c>
      <c r="Z14" s="71" t="s">
        <v>65</v>
      </c>
      <c r="AA14" s="71"/>
    </row>
    <row r="15" spans="2:26" ht="14.25">
      <c r="B15" s="27" t="s">
        <v>28</v>
      </c>
      <c r="C15" s="28" t="s">
        <v>60</v>
      </c>
      <c r="D15" s="51">
        <v>0.7</v>
      </c>
      <c r="E15" s="28"/>
      <c r="F15" s="28"/>
      <c r="G15" s="29"/>
      <c r="H15" s="5"/>
      <c r="I15" s="5"/>
      <c r="J15" s="10" t="s">
        <v>40</v>
      </c>
      <c r="K15" s="11"/>
      <c r="L15" s="11"/>
      <c r="M15" s="11"/>
      <c r="N15" s="11"/>
      <c r="O15" s="11"/>
      <c r="P15" s="5"/>
      <c r="Q15" s="59" t="s">
        <v>31</v>
      </c>
      <c r="R15" s="7">
        <f>+R14</f>
        <v>29</v>
      </c>
      <c r="S15" s="15">
        <f>IF(D$14=0,"    N/A",+T15*D$18*D$17)</f>
        <v>6.9</v>
      </c>
      <c r="T15" s="65">
        <f>IF(D$14=0,"     N/A",+M9)</f>
        <v>0.23</v>
      </c>
      <c r="U15" s="19">
        <f>IF(D14=0,"     N/A",+R15-L9)</f>
        <v>-1</v>
      </c>
      <c r="V15" s="42">
        <f>IF(D14=0,"   N/A",+T15*U15*D17)</f>
        <v>-2.3000000000000003</v>
      </c>
      <c r="W15" s="5"/>
      <c r="Y15" s="3" t="s">
        <v>68</v>
      </c>
      <c r="Z15" s="72">
        <f>+O25</f>
        <v>50</v>
      </c>
    </row>
    <row r="16" spans="2:26" ht="14.25">
      <c r="B16" s="33"/>
      <c r="C16" s="28" t="s">
        <v>53</v>
      </c>
      <c r="D16" s="52">
        <v>6</v>
      </c>
      <c r="E16" s="28"/>
      <c r="F16" s="28"/>
      <c r="G16" s="29"/>
      <c r="H16" s="7"/>
      <c r="I16" s="7"/>
      <c r="J16" s="47" t="s">
        <v>29</v>
      </c>
      <c r="K16" s="47" t="s">
        <v>35</v>
      </c>
      <c r="L16" s="47"/>
      <c r="M16" s="53" t="s">
        <v>15</v>
      </c>
      <c r="N16" s="12" t="s">
        <v>50</v>
      </c>
      <c r="O16" s="5"/>
      <c r="P16" s="5"/>
      <c r="Q16" s="59" t="s">
        <v>32</v>
      </c>
      <c r="R16" s="7">
        <f>+R15</f>
        <v>29</v>
      </c>
      <c r="S16" s="15">
        <f>IF(D$14=0,"    N/A",+T16*D$18*D$17)</f>
        <v>16.200000000000003</v>
      </c>
      <c r="T16" s="65">
        <f>IF(D$14=0,"     N/A",+M10)</f>
        <v>0.54</v>
      </c>
      <c r="U16" s="40">
        <f>IF(D14=0,"     N/A",(+R16-L10)*-1)</f>
        <v>21</v>
      </c>
      <c r="V16" s="42">
        <f>IF(D14=0,"   N/A",+U16*T16*-D17)</f>
        <v>-113.4</v>
      </c>
      <c r="W16" s="5"/>
      <c r="Y16" t="s">
        <v>3</v>
      </c>
      <c r="Z16" s="70">
        <f>+T17</f>
        <v>1.02</v>
      </c>
    </row>
    <row r="17" spans="2:26" ht="14.25">
      <c r="B17" s="27"/>
      <c r="C17" s="28" t="s">
        <v>9</v>
      </c>
      <c r="D17" s="52">
        <v>10</v>
      </c>
      <c r="E17" s="28" t="s">
        <v>10</v>
      </c>
      <c r="F17" s="28"/>
      <c r="G17" s="29"/>
      <c r="H17" s="5"/>
      <c r="I17" s="5"/>
      <c r="J17" s="5" t="s">
        <v>36</v>
      </c>
      <c r="K17" s="5" t="s">
        <v>37</v>
      </c>
      <c r="L17" s="5"/>
      <c r="M17" s="20">
        <f>+D10</f>
        <v>20</v>
      </c>
      <c r="N17" s="12" t="s">
        <v>46</v>
      </c>
      <c r="O17" s="5"/>
      <c r="P17" s="5"/>
      <c r="Q17" s="5"/>
      <c r="R17" s="7"/>
      <c r="S17" s="45">
        <f>SUM(S14:S16)</f>
        <v>30.6</v>
      </c>
      <c r="T17" s="74">
        <f>+T14+T15+T16</f>
        <v>1.02</v>
      </c>
      <c r="U17" s="21"/>
      <c r="V17" s="43">
        <f>SUM(V14:V16)</f>
        <v>-43.2</v>
      </c>
      <c r="W17" s="5"/>
      <c r="Z17">
        <f>+Z15/Z16</f>
        <v>49.01960784313725</v>
      </c>
    </row>
    <row r="18" spans="2:26" ht="14.25">
      <c r="B18" s="33"/>
      <c r="C18" s="28" t="s">
        <v>21</v>
      </c>
      <c r="D18" s="52">
        <v>3</v>
      </c>
      <c r="E18" s="28"/>
      <c r="F18" s="28"/>
      <c r="G18" s="29"/>
      <c r="H18" s="5"/>
      <c r="I18" s="5"/>
      <c r="J18" s="5" t="s">
        <v>31</v>
      </c>
      <c r="K18" s="5" t="s">
        <v>38</v>
      </c>
      <c r="L18" s="5"/>
      <c r="M18" s="20">
        <f>+U9</f>
        <v>25</v>
      </c>
      <c r="N18" s="12" t="s">
        <v>46</v>
      </c>
      <c r="O18" s="5"/>
      <c r="P18" s="5"/>
      <c r="Q18" s="5"/>
      <c r="W18" s="5"/>
      <c r="Z18">
        <v>10</v>
      </c>
    </row>
    <row r="19" spans="2:26" ht="14.25">
      <c r="B19" s="33"/>
      <c r="C19" s="28"/>
      <c r="D19" s="28"/>
      <c r="E19" s="28"/>
      <c r="F19" s="28"/>
      <c r="G19" s="29"/>
      <c r="H19" s="5"/>
      <c r="I19" s="5"/>
      <c r="J19" s="5" t="s">
        <v>32</v>
      </c>
      <c r="K19" s="5" t="s">
        <v>38</v>
      </c>
      <c r="L19" s="5"/>
      <c r="M19" s="58">
        <f>+U16</f>
        <v>21</v>
      </c>
      <c r="N19" s="12" t="s">
        <v>46</v>
      </c>
      <c r="O19" s="5"/>
      <c r="P19" s="5"/>
      <c r="Q19" s="5"/>
      <c r="R19" s="10" t="s">
        <v>62</v>
      </c>
      <c r="S19" s="11"/>
      <c r="T19" s="11"/>
      <c r="U19" s="11">
        <f>ROUND(+D15*D9,0)</f>
        <v>70</v>
      </c>
      <c r="V19" s="11" t="s">
        <v>0</v>
      </c>
      <c r="W19" s="5"/>
      <c r="Z19">
        <f>ROUND(+Z17/Z18,0)</f>
        <v>5</v>
      </c>
    </row>
    <row r="20" spans="2:23" ht="14.25">
      <c r="B20" s="33"/>
      <c r="C20" s="28" t="s">
        <v>22</v>
      </c>
      <c r="D20" s="28"/>
      <c r="E20" s="28"/>
      <c r="F20" s="28"/>
      <c r="G20" s="29"/>
      <c r="H20" s="5"/>
      <c r="I20" s="5"/>
      <c r="J20" s="5" t="s">
        <v>61</v>
      </c>
      <c r="K20" s="5" t="s">
        <v>38</v>
      </c>
      <c r="L20" s="5"/>
      <c r="M20" s="58">
        <f>IF(D15=0,"N/A",-U24)</f>
        <v>18</v>
      </c>
      <c r="N20" s="12" t="s">
        <v>46</v>
      </c>
      <c r="O20" s="5"/>
      <c r="P20" s="5"/>
      <c r="Q20" s="5"/>
      <c r="R20" s="46" t="s">
        <v>1</v>
      </c>
      <c r="S20" s="46" t="s">
        <v>2</v>
      </c>
      <c r="T20" s="46" t="s">
        <v>3</v>
      </c>
      <c r="U20" s="48" t="s">
        <v>4</v>
      </c>
      <c r="V20" s="41" t="s">
        <v>5</v>
      </c>
      <c r="W20" s="5"/>
    </row>
    <row r="21" spans="2:27" ht="14.25">
      <c r="B21" s="33"/>
      <c r="C21" s="28" t="s">
        <v>23</v>
      </c>
      <c r="D21" s="16"/>
      <c r="E21" s="28"/>
      <c r="F21" s="28"/>
      <c r="G21" s="29"/>
      <c r="H21" s="5"/>
      <c r="I21" s="5"/>
      <c r="O21" s="5"/>
      <c r="P21" s="5"/>
      <c r="Q21" s="59" t="s">
        <v>36</v>
      </c>
      <c r="R21" s="62">
        <f>IF(D15=0,"NA",ROUNDUP((((+M9*L9)+(M10*L10)+(M11*L11))/(M8+M9+M10+M11)),0))-Z26</f>
        <v>52</v>
      </c>
      <c r="S21" s="64">
        <f>IF(D15=0,"N/A",+S8)</f>
        <v>7.5</v>
      </c>
      <c r="T21" s="65">
        <f>IF(D15=0,"N/A",+M8)</f>
        <v>0.25</v>
      </c>
      <c r="U21" s="58">
        <f>+R21</f>
        <v>52</v>
      </c>
      <c r="V21" s="63">
        <f>IF(D15=0,"NA",+T21*U21*D17)</f>
        <v>130</v>
      </c>
      <c r="W21" s="5"/>
      <c r="Y21" s="71" t="s">
        <v>67</v>
      </c>
      <c r="Z21" s="71" t="s">
        <v>65</v>
      </c>
      <c r="AA21" s="71"/>
    </row>
    <row r="22" spans="2:26" ht="14.25">
      <c r="B22" s="33"/>
      <c r="C22" s="28"/>
      <c r="D22" s="28"/>
      <c r="E22" s="28"/>
      <c r="F22" s="28"/>
      <c r="G22" s="29"/>
      <c r="H22" s="5"/>
      <c r="I22" s="5"/>
      <c r="J22" s="5"/>
      <c r="K22" s="5"/>
      <c r="L22" s="5"/>
      <c r="M22" s="5"/>
      <c r="N22" s="5"/>
      <c r="O22" s="5"/>
      <c r="P22" s="5"/>
      <c r="Q22" s="59" t="s">
        <v>31</v>
      </c>
      <c r="R22" s="61">
        <f>+R21</f>
        <v>52</v>
      </c>
      <c r="S22" s="64">
        <f>+S15</f>
        <v>6.9</v>
      </c>
      <c r="T22" s="65">
        <f>+M9</f>
        <v>0.23</v>
      </c>
      <c r="U22" s="58">
        <f>IF(D15=0,"NA",+R22-L9)</f>
        <v>22</v>
      </c>
      <c r="V22" s="63">
        <f>IF(D15=0,"NA",+T22*U22*D17)</f>
        <v>50.60000000000001</v>
      </c>
      <c r="W22" s="5"/>
      <c r="Y22" t="s">
        <v>68</v>
      </c>
      <c r="Z22" s="72">
        <f>+O25</f>
        <v>50</v>
      </c>
    </row>
    <row r="23" spans="2:26" ht="14.25">
      <c r="B23" s="33"/>
      <c r="C23" s="28" t="s">
        <v>24</v>
      </c>
      <c r="D23" s="28"/>
      <c r="E23" s="28"/>
      <c r="F23" s="34"/>
      <c r="G23" s="29"/>
      <c r="H23" s="5"/>
      <c r="I23" s="5"/>
      <c r="J23" s="10" t="s">
        <v>39</v>
      </c>
      <c r="K23" s="11"/>
      <c r="L23" s="11"/>
      <c r="M23" s="11"/>
      <c r="N23" s="11"/>
      <c r="O23" s="11"/>
      <c r="P23" s="5"/>
      <c r="Q23" s="59" t="s">
        <v>32</v>
      </c>
      <c r="R23" s="61">
        <f>+R22</f>
        <v>52</v>
      </c>
      <c r="S23" s="64">
        <f>+S16</f>
        <v>16.200000000000003</v>
      </c>
      <c r="T23" s="65">
        <f>+M10</f>
        <v>0.54</v>
      </c>
      <c r="U23" s="61">
        <f>IF(D15=0,"NA",+R23-L10)</f>
        <v>2</v>
      </c>
      <c r="V23" s="63">
        <f>IF(D15=0,"NA",+T23*U23*D17)</f>
        <v>10.8</v>
      </c>
      <c r="W23" s="5"/>
      <c r="Y23" t="s">
        <v>3</v>
      </c>
      <c r="Z23" s="70">
        <f>+T25</f>
        <v>2.33</v>
      </c>
    </row>
    <row r="24" spans="2:26" ht="14.25">
      <c r="B24" s="33"/>
      <c r="C24" s="35" t="s">
        <v>25</v>
      </c>
      <c r="D24" s="35"/>
      <c r="E24" s="35"/>
      <c r="F24" s="35"/>
      <c r="G24" s="36"/>
      <c r="H24" s="9"/>
      <c r="I24" s="5"/>
      <c r="J24" s="5"/>
      <c r="K24" s="5"/>
      <c r="L24" s="5"/>
      <c r="M24" s="46" t="s">
        <v>13</v>
      </c>
      <c r="N24" s="46" t="s">
        <v>16</v>
      </c>
      <c r="O24" s="46" t="s">
        <v>55</v>
      </c>
      <c r="P24" s="5"/>
      <c r="Q24" s="59" t="s">
        <v>61</v>
      </c>
      <c r="R24" s="62">
        <f>+R23</f>
        <v>52</v>
      </c>
      <c r="S24" s="64">
        <f>IF(D15=0,"N/A",+T24*D18*D17)</f>
        <v>39.300000000000004</v>
      </c>
      <c r="T24" s="66">
        <f>+M11</f>
        <v>1.31</v>
      </c>
      <c r="U24" s="62">
        <f>IF(D15=0,"NA",(+U19-R24)*-1)</f>
        <v>-18</v>
      </c>
      <c r="V24" s="63">
        <f>IF(D15=0,"NA",+T24*U24*D17)</f>
        <v>-235.8</v>
      </c>
      <c r="W24" s="5"/>
      <c r="Z24">
        <f>+Z22/Z23</f>
        <v>21.459227467811157</v>
      </c>
    </row>
    <row r="25" spans="2:26" ht="14.25">
      <c r="B25" s="37"/>
      <c r="C25" s="38"/>
      <c r="D25" s="38"/>
      <c r="E25" s="38"/>
      <c r="F25" s="38"/>
      <c r="G25" s="39"/>
      <c r="H25" s="7"/>
      <c r="I25" s="7"/>
      <c r="J25" s="5"/>
      <c r="K25" s="5"/>
      <c r="L25" s="5"/>
      <c r="M25" s="67">
        <f>ROUND(((+O25/N25/D$17)),2)</f>
        <v>0.25</v>
      </c>
      <c r="N25" s="14">
        <f>+D10</f>
        <v>20</v>
      </c>
      <c r="O25" s="14">
        <f>+D7*D11</f>
        <v>50</v>
      </c>
      <c r="P25" s="5"/>
      <c r="Q25" s="5"/>
      <c r="R25" s="7"/>
      <c r="S25" s="45">
        <f>SUM(S21:S24)</f>
        <v>69.9</v>
      </c>
      <c r="T25" s="74">
        <f>+T21+T22+T23+T24</f>
        <v>2.33</v>
      </c>
      <c r="U25" s="21"/>
      <c r="V25" s="63">
        <f>SUM(V21:V24)</f>
        <v>-44.39999999999998</v>
      </c>
      <c r="W25" s="5"/>
      <c r="Y25" t="s">
        <v>69</v>
      </c>
      <c r="Z25">
        <f>+D17</f>
        <v>10</v>
      </c>
    </row>
    <row r="26" spans="3:26" ht="14.25">
      <c r="C26" s="1"/>
      <c r="D26" s="1"/>
      <c r="E26" s="1"/>
      <c r="F26" s="1"/>
      <c r="G26" s="1"/>
      <c r="H26" s="1"/>
      <c r="I26" s="1"/>
      <c r="Z26">
        <f>ROUND(+Z24/Z25,0)</f>
        <v>2</v>
      </c>
    </row>
    <row r="27" spans="2:9" ht="14.25">
      <c r="B27" t="s">
        <v>59</v>
      </c>
      <c r="C27" s="1"/>
      <c r="D27" s="1"/>
      <c r="E27" s="1"/>
      <c r="F27" s="1"/>
      <c r="G27" s="1"/>
      <c r="H27" s="1"/>
      <c r="I27" s="1"/>
    </row>
    <row r="28" ht="14.25">
      <c r="B28" t="s">
        <v>58</v>
      </c>
    </row>
    <row r="29" ht="14.25">
      <c r="C29" s="2"/>
    </row>
    <row r="30" ht="14.25">
      <c r="C30" s="2"/>
    </row>
    <row r="31" ht="14.25">
      <c r="D31" s="2"/>
    </row>
  </sheetData>
  <sheetProtection/>
  <mergeCells count="1">
    <mergeCell ref="C2:G2"/>
  </mergeCells>
  <conditionalFormatting sqref="M17:M20">
    <cfRule type="cellIs" priority="1" dxfId="2" operator="lessThan">
      <formula>$D$18+$D$16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 du Plooy</cp:lastModifiedBy>
  <dcterms:created xsi:type="dcterms:W3CDTF">2013-11-03T01:14:12Z</dcterms:created>
  <dcterms:modified xsi:type="dcterms:W3CDTF">2015-06-07T01:33:36Z</dcterms:modified>
  <cp:category/>
  <cp:version/>
  <cp:contentType/>
  <cp:contentStatus/>
</cp:coreProperties>
</file>